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embeddings/oleObject9.bin" ContentType="application/vnd.openxmlformats-officedocument.oleObject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embeddings/oleObject7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UPV-EHU OCW 2017" sheetId="14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</sheets>
  <definedNames>
    <definedName name="solver_adj" localSheetId="7" hidden="1">'7'!$B$43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opt" localSheetId="7" hidden="1">'7'!$E$43</definedName>
    <definedName name="solver_pre" localSheetId="7" hidden="1">0.000001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0</definedName>
  </definedNames>
  <calcPr calcId="125725"/>
</workbook>
</file>

<file path=xl/calcChain.xml><?xml version="1.0" encoding="utf-8"?>
<calcChain xmlns="http://schemas.openxmlformats.org/spreadsheetml/2006/main">
  <c r="H57" i="13"/>
  <c r="C57"/>
  <c r="H51"/>
  <c r="H49"/>
  <c r="C49"/>
  <c r="C51"/>
  <c r="C29"/>
  <c r="C59" i="12"/>
  <c r="C57"/>
  <c r="C43"/>
  <c r="C41"/>
  <c r="C21"/>
  <c r="C53" i="11"/>
  <c r="C37"/>
  <c r="C49" s="1"/>
  <c r="C25"/>
  <c r="C54" i="10"/>
  <c r="C31"/>
  <c r="C45"/>
  <c r="C43" s="1"/>
  <c r="C44" i="9"/>
  <c r="C42" s="1"/>
  <c r="C53" s="1"/>
  <c r="C61" s="1"/>
  <c r="C30"/>
  <c r="C25" i="8"/>
  <c r="C45" i="7"/>
  <c r="C43"/>
  <c r="D43" s="1"/>
  <c r="E43" s="1"/>
  <c r="C37"/>
  <c r="F28"/>
  <c r="F29" s="1"/>
  <c r="F27"/>
  <c r="C50" i="6"/>
  <c r="C43"/>
  <c r="C39"/>
  <c r="C38"/>
  <c r="F21"/>
  <c r="F20"/>
  <c r="F19"/>
  <c r="C49" i="5"/>
  <c r="C32"/>
  <c r="C41" s="1"/>
  <c r="C45" s="1"/>
  <c r="C44" i="4"/>
  <c r="C42"/>
  <c r="C40"/>
  <c r="C39"/>
  <c r="C35" i="3"/>
  <c r="C27" i="2"/>
  <c r="C31" i="3"/>
  <c r="C37" s="1"/>
  <c r="C29"/>
  <c r="C23" i="1"/>
  <c r="C62" i="10" l="1"/>
</calcChain>
</file>

<file path=xl/sharedStrings.xml><?xml version="1.0" encoding="utf-8"?>
<sst xmlns="http://schemas.openxmlformats.org/spreadsheetml/2006/main" count="250" uniqueCount="137">
  <si>
    <t>DATUAK</t>
  </si>
  <si>
    <t>Xc</t>
  </si>
  <si>
    <t>Xp</t>
  </si>
  <si>
    <t>Xf</t>
  </si>
  <si>
    <t>Xa</t>
  </si>
  <si>
    <t>Xw</t>
  </si>
  <si>
    <t>PROZEDURA</t>
  </si>
  <si>
    <t>Heldman eta Singh (1981) autoreen ekuazio enpirikoa erabiliz:</t>
  </si>
  <si>
    <t>Cp (kJ/kgºC)</t>
  </si>
  <si>
    <t>Δx (m)</t>
  </si>
  <si>
    <t>T1 (ºC)</t>
  </si>
  <si>
    <t>T2 (ºC)</t>
  </si>
  <si>
    <t>Altzairu herdoilgaitza</t>
  </si>
  <si>
    <t>k (W/mºC)</t>
  </si>
  <si>
    <t>Xaflan zeharreko bero-fluxua (q) kalkulatzeko:</t>
  </si>
  <si>
    <r>
      <t>q/A (W/m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</si>
  <si>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x (m)</t>
  </si>
  <si>
    <r>
      <t>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</si>
  <si>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Rt (ºC/W)</t>
  </si>
  <si>
    <t>q (W)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</si>
  <si>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(ºC)</t>
    </r>
  </si>
  <si>
    <t>Bero fluxua konstante mantenduko da, xaflaren erdigunean:</t>
  </si>
  <si>
    <t>K (W/mºC)</t>
  </si>
  <si>
    <t>Di (m)</t>
  </si>
  <si>
    <t>e (m)</t>
  </si>
  <si>
    <t>L (m)</t>
  </si>
  <si>
    <t>To (ºC)</t>
  </si>
  <si>
    <t>Ti (ºC)</t>
  </si>
  <si>
    <t>Bero fluxu erradiala honela kalkulatu daiteke:</t>
  </si>
  <si>
    <t>Lehendabizi barne eta kanpoko erradioak kalkulatuko ditugu:</t>
  </si>
  <si>
    <t>Ri (m)</t>
  </si>
  <si>
    <t>Ro (m)</t>
  </si>
  <si>
    <t>qr (W)</t>
  </si>
  <si>
    <t>Hozkailuaren dimentsioak:</t>
  </si>
  <si>
    <t>a (m)</t>
  </si>
  <si>
    <t>b(m)</t>
  </si>
  <si>
    <t>Hormigoia</t>
  </si>
  <si>
    <t>Isolatzailea:</t>
  </si>
  <si>
    <t>RtH (ºC/W)</t>
  </si>
  <si>
    <t>Hormigoiaren erresistentziak kalkulatuz:</t>
  </si>
  <si>
    <t>Isolatzailearen erresistentzia askatuz,</t>
  </si>
  <si>
    <t>RtI (ºC/W)</t>
  </si>
  <si>
    <t>Isolatzailearen espesorea kalkulatuz: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</si>
  <si>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x_H(m)</t>
    </r>
  </si>
  <si>
    <t>Δx_I (m)</t>
  </si>
  <si>
    <t>Tenperatura kalkulatuz:</t>
  </si>
  <si>
    <t>T (ºC)</t>
  </si>
  <si>
    <t>k(W/mºC)</t>
  </si>
  <si>
    <t>Bi erresistentziak kalkulatuz,</t>
  </si>
  <si>
    <t>Bero emariaren kalkulua:</t>
  </si>
  <si>
    <t>Rt1 (ºC/W)</t>
  </si>
  <si>
    <t>T3 (ºC)</t>
  </si>
  <si>
    <t>R1(m)</t>
  </si>
  <si>
    <t>R2 (m)</t>
  </si>
  <si>
    <t>R3 (m)</t>
  </si>
  <si>
    <t>Rt2 (ºC/W)</t>
  </si>
  <si>
    <t>Bero fluxua kalkulatuz,</t>
  </si>
  <si>
    <t>T2 kalkulatzeko,</t>
  </si>
  <si>
    <t>Altzairu herdoilgaitza:</t>
  </si>
  <si>
    <t xml:space="preserve"> (izan behar du 20 ºC baino handiagoa)</t>
  </si>
  <si>
    <t>Bero galerak:</t>
  </si>
  <si>
    <t>q (W/m)</t>
  </si>
  <si>
    <t>D1 (m)</t>
  </si>
  <si>
    <t>R1 (m)</t>
  </si>
  <si>
    <t>Bi erresistentziak kalkulatuz:</t>
  </si>
  <si>
    <t>Rt2 kalkulatzeko ez dugu isolatzailearen konduktibitatea:</t>
  </si>
  <si>
    <t>q_kalk</t>
  </si>
  <si>
    <t>dif (q)</t>
  </si>
  <si>
    <t>K_iso (W/mºC)</t>
  </si>
  <si>
    <t>Solver funtzioaren bidez, k kalkulatuko dugu:</t>
  </si>
  <si>
    <r>
      <t>q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</si>
  <si>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T_xafla (ºC)</t>
  </si>
  <si>
    <t>T_inguru (ºC)</t>
  </si>
  <si>
    <t>Konbekzio bidezko bero transmisioa:</t>
  </si>
  <si>
    <t>h askatuz,</t>
  </si>
  <si>
    <r>
      <t>h (W/m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ºC)</t>
    </r>
  </si>
  <si>
    <t>m (kg/s)</t>
  </si>
  <si>
    <t>Uraren tenperatura</t>
  </si>
  <si>
    <t>T_tutueria (ºC)</t>
  </si>
  <si>
    <t>1. Konbekzio bultzatua da, ura ponpatzen baita.</t>
  </si>
  <si>
    <t>2. h-ren kalkulurako metodologiari jarraituz:</t>
  </si>
  <si>
    <t>T batazbeste (ºC)</t>
  </si>
  <si>
    <t>A.4.1. taulatik, propietateak</t>
  </si>
  <si>
    <t>Dents (kg/m3)</t>
  </si>
  <si>
    <t>Cp (kJ/kg ºC)</t>
  </si>
  <si>
    <t>bisk (Pa s)</t>
  </si>
  <si>
    <t>Pr</t>
  </si>
  <si>
    <t>A) Geometria: tutueria zilindrikoa</t>
  </si>
  <si>
    <t>B) Jariakina: Ura</t>
  </si>
  <si>
    <t>C) Reynolds zenbakia:</t>
  </si>
  <si>
    <t>Re</t>
  </si>
  <si>
    <t>u (m/s)</t>
  </si>
  <si>
    <t>(laminarra)</t>
  </si>
  <si>
    <t>D) Jariakina egoera egonkorrean eta tutueriaren sarreran:</t>
  </si>
  <si>
    <t>µw (90 ºC) (Pa s)</t>
  </si>
  <si>
    <t>NuZenbakia</t>
  </si>
  <si>
    <t>3. h askatuz,</t>
  </si>
  <si>
    <t>(zurrunbilotsua)</t>
  </si>
  <si>
    <t>h zortzi aldiz handiagoa izango da.</t>
  </si>
  <si>
    <t>T_airea (ºC)</t>
  </si>
  <si>
    <t>T_gainazala (ºC)</t>
  </si>
  <si>
    <t>dp(m)</t>
  </si>
  <si>
    <t>1. Geometria: murgildutako gorputz esferikoa</t>
  </si>
  <si>
    <t>2. Jariakina: airea</t>
  </si>
  <si>
    <t>A.4.4. taulatik,</t>
  </si>
  <si>
    <t>k (W/m ºC)</t>
  </si>
  <si>
    <t>µ (Pa s)</t>
  </si>
  <si>
    <r>
      <t>Dents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</si>
  <si>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3. Reynolds zenbakia</t>
  </si>
  <si>
    <t>4. Murgildutako gorputzetarako:</t>
  </si>
  <si>
    <t>D (m)</t>
  </si>
  <si>
    <t>Tw (ºC)</t>
  </si>
  <si>
    <t>T airea (ºC)</t>
  </si>
  <si>
    <t>Suposatuko da konbekzio naturala dela:</t>
  </si>
  <si>
    <t>Tf (ºC)</t>
  </si>
  <si>
    <t>A.4.4. taulatik airearen propietateak 80 ºC-tan:</t>
  </si>
  <si>
    <r>
      <t>ß (K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</si>
  <si>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Rayleigh zenbakia kalkulatuz,</t>
  </si>
  <si>
    <t>Ra</t>
  </si>
  <si>
    <t>Grashof zenbakiaren definizioa:</t>
  </si>
  <si>
    <t>Gr</t>
  </si>
  <si>
    <t>Zilindro horizontalentzako,</t>
  </si>
  <si>
    <r>
      <t>h (W/m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ºC)</t>
    </r>
  </si>
  <si>
    <r>
      <t>hi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ºC)</t>
    </r>
  </si>
  <si>
    <t>Ti(ºC)</t>
  </si>
  <si>
    <r>
      <t>ho(W/m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ºC)</t>
    </r>
  </si>
  <si>
    <t>Kanpoko diametroa kalkulatuz,</t>
  </si>
  <si>
    <t>Do (m)</t>
  </si>
  <si>
    <t>Ui koefizientearen kalkulurako,</t>
  </si>
  <si>
    <t>edo zuzenean jakinda,</t>
  </si>
  <si>
    <t>ondoko ekuaziotik kalkulatu dezakegu:</t>
  </si>
  <si>
    <t>1/Ui</t>
  </si>
  <si>
    <r>
      <t>Ui (W/m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ºC)</t>
    </r>
  </si>
  <si>
    <t>Uo koefizientearen kalkulurako,</t>
  </si>
  <si>
    <t>Hortaz,</t>
  </si>
  <si>
    <t>1/Uo</t>
  </si>
  <si>
    <r>
      <t>Uo (W/m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ºC)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</si>
</sst>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"/>
    <numFmt numFmtId="166" formatCode="0.0E+00"/>
    <numFmt numFmtId="167" formatCode="0.0000"/>
    <numFmt numFmtId="168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64" fontId="0" fillId="0" borderId="0" xfId="0" applyNumberFormat="1"/>
    <xf numFmtId="0" fontId="1" fillId="4" borderId="1" xfId="0" applyFont="1" applyFill="1" applyBorder="1"/>
    <xf numFmtId="2" fontId="1" fillId="4" borderId="2" xfId="0" applyNumberFormat="1" applyFont="1" applyFill="1" applyBorder="1"/>
    <xf numFmtId="0" fontId="3" fillId="0" borderId="0" xfId="0" applyFont="1"/>
    <xf numFmtId="0" fontId="1" fillId="5" borderId="1" xfId="0" applyFont="1" applyFill="1" applyBorder="1"/>
    <xf numFmtId="0" fontId="1" fillId="5" borderId="2" xfId="0" applyFont="1" applyFill="1" applyBorder="1"/>
    <xf numFmtId="165" fontId="0" fillId="0" borderId="0" xfId="0" applyNumberFormat="1"/>
    <xf numFmtId="166" fontId="0" fillId="0" borderId="0" xfId="0" applyNumberFormat="1"/>
    <xf numFmtId="166" fontId="1" fillId="5" borderId="2" xfId="0" applyNumberFormat="1" applyFont="1" applyFill="1" applyBorder="1"/>
    <xf numFmtId="167" fontId="0" fillId="0" borderId="0" xfId="0" applyNumberFormat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5" borderId="1" xfId="0" applyFont="1" applyFill="1" applyBorder="1"/>
    <xf numFmtId="164" fontId="1" fillId="5" borderId="2" xfId="0" applyNumberFormat="1" applyFont="1" applyFill="1" applyBorder="1"/>
    <xf numFmtId="2" fontId="1" fillId="5" borderId="2" xfId="0" applyNumberFormat="1" applyFont="1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/>
    <xf numFmtId="168" fontId="1" fillId="5" borderId="2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6" borderId="0" xfId="0" applyFont="1" applyFill="1"/>
    <xf numFmtId="0" fontId="0" fillId="6" borderId="0" xfId="0" applyFont="1" applyFill="1"/>
    <xf numFmtId="0" fontId="1" fillId="7" borderId="0" xfId="0" applyFont="1" applyFill="1"/>
    <xf numFmtId="11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Relationship Id="rId6" Type="http://schemas.openxmlformats.org/officeDocument/2006/relationships/image" Target="../media/image28.emf"/><Relationship Id="rId5" Type="http://schemas.openxmlformats.org/officeDocument/2006/relationships/image" Target="../media/image27.emf"/><Relationship Id="rId4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28</xdr:row>
      <xdr:rowOff>166688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50" cy="550068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104775</xdr:rowOff>
    </xdr:from>
    <xdr:to>
      <xdr:col>8</xdr:col>
      <xdr:colOff>47625</xdr:colOff>
      <xdr:row>5</xdr:row>
      <xdr:rowOff>180975</xdr:rowOff>
    </xdr:to>
    <xdr:sp macro="" textlink="">
      <xdr:nvSpPr>
        <xdr:cNvPr id="2" name="1 CuadroTexto"/>
        <xdr:cNvSpPr txBox="1"/>
      </xdr:nvSpPr>
      <xdr:spPr>
        <a:xfrm>
          <a:off x="371475" y="104775"/>
          <a:ext cx="57721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9. Ura 0,02 kg/s-ko emariarekin 2,5 cm-ko barne diametroa duen tutueria batetik ponpatzen da. Tutueria 90 ºC-tan dagoenez 20 ºC-tan sartzen den ura 60 ºC-ra berotzen da. Kalkulatu uraren konbekzio koefizientea tutueriaren luzera 1 m-koa dela suposatuz.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180976</xdr:colOff>
      <xdr:row>46</xdr:row>
      <xdr:rowOff>123826</xdr:rowOff>
    </xdr:from>
    <xdr:to>
      <xdr:col>4</xdr:col>
      <xdr:colOff>657226</xdr:colOff>
      <xdr:row>50</xdr:row>
      <xdr:rowOff>36658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018" r="28370"/>
        <a:stretch>
          <a:fillRect/>
        </a:stretch>
      </xdr:blipFill>
      <xdr:spPr bwMode="auto">
        <a:xfrm>
          <a:off x="942976" y="8886826"/>
          <a:ext cx="3181350" cy="67483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66674</xdr:rowOff>
    </xdr:from>
    <xdr:to>
      <xdr:col>5</xdr:col>
      <xdr:colOff>657225</xdr:colOff>
      <xdr:row>5</xdr:row>
      <xdr:rowOff>180975</xdr:rowOff>
    </xdr:to>
    <xdr:sp macro="" textlink="">
      <xdr:nvSpPr>
        <xdr:cNvPr id="2" name="1 CuadroTexto"/>
        <xdr:cNvSpPr txBox="1"/>
      </xdr:nvSpPr>
      <xdr:spPr>
        <a:xfrm>
          <a:off x="247649" y="66674"/>
          <a:ext cx="4981576" cy="1066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10.  Zer gertatuko zaio konbekzio koefizienteari aurreko adibideko uraren emaria 0,02 kg/s-tik 0,2 kg/s handitzen bada? Handitu? Txikitu? Lehenik pentsatu eta ondoren konprobatu matematikoki.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0</xdr:col>
      <xdr:colOff>638175</xdr:colOff>
      <xdr:row>47</xdr:row>
      <xdr:rowOff>104775</xdr:rowOff>
    </xdr:from>
    <xdr:to>
      <xdr:col>5</xdr:col>
      <xdr:colOff>180975</xdr:colOff>
      <xdr:row>51</xdr:row>
      <xdr:rowOff>58592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212" r="27902"/>
        <a:stretch>
          <a:fillRect/>
        </a:stretch>
      </xdr:blipFill>
      <xdr:spPr bwMode="auto">
        <a:xfrm>
          <a:off x="638175" y="9058275"/>
          <a:ext cx="3609975" cy="715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7145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447675</xdr:colOff>
      <xdr:row>1</xdr:row>
      <xdr:rowOff>47625</xdr:rowOff>
    </xdr:from>
    <xdr:to>
      <xdr:col>7</xdr:col>
      <xdr:colOff>0</xdr:colOff>
      <xdr:row>7</xdr:row>
      <xdr:rowOff>161925</xdr:rowOff>
    </xdr:to>
    <xdr:sp macro="" textlink="">
      <xdr:nvSpPr>
        <xdr:cNvPr id="3" name="2 CuadroTexto"/>
        <xdr:cNvSpPr txBox="1"/>
      </xdr:nvSpPr>
      <xdr:spPr>
        <a:xfrm>
          <a:off x="447675" y="238125"/>
          <a:ext cx="488632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11. Kalkulatu 90 ºC-tan ilarrezko ohantze batean zehar 0,3 m/s-tan darion airearen konbekzio koefizientea. Ilarren gainazaleko tenperatura 30 ºC-koa da eta batez besteko partikula tamaina 0,5 cm-koa kontsideratu daiteke.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3</xdr:col>
      <xdr:colOff>676275</xdr:colOff>
      <xdr:row>47</xdr:row>
      <xdr:rowOff>14452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620" r="29474"/>
        <a:stretch>
          <a:fillRect/>
        </a:stretch>
      </xdr:blipFill>
      <xdr:spPr bwMode="auto">
        <a:xfrm>
          <a:off x="762000" y="7648575"/>
          <a:ext cx="2657475" cy="1347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152401</xdr:rowOff>
    </xdr:from>
    <xdr:to>
      <xdr:col>6</xdr:col>
      <xdr:colOff>552450</xdr:colOff>
      <xdr:row>7</xdr:row>
      <xdr:rowOff>38101</xdr:rowOff>
    </xdr:to>
    <xdr:sp macro="" textlink="">
      <xdr:nvSpPr>
        <xdr:cNvPr id="2" name="1 CuadroTexto"/>
        <xdr:cNvSpPr txBox="1"/>
      </xdr:nvSpPr>
      <xdr:spPr>
        <a:xfrm>
          <a:off x="447675" y="152401"/>
          <a:ext cx="467677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200">
              <a:latin typeface="EHUSerif"/>
              <a:ea typeface="Calibri"/>
              <a:cs typeface="Times New Roman"/>
            </a:rPr>
            <a:t>12. </a:t>
          </a:r>
          <a:r>
            <a:rPr lang="eu-ES" sz="1200">
              <a:latin typeface="EHUSerif"/>
              <a:ea typeface="Calibri"/>
              <a:cs typeface="Times New Roman"/>
            </a:rPr>
            <a:t>Ur lurruna 10 cm-ko tutueria horizontal batetik dario, tutueriaren gainazala 130 ºC-tan mantentzen delarik. Tutueriaren kanpoaldetik airea dario 30 ºC-tan, zein tutueriarekin kontaktuan berotu egingo den. Kalkulatu konbekzio koefizientea.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0</xdr:col>
      <xdr:colOff>695326</xdr:colOff>
      <xdr:row>32</xdr:row>
      <xdr:rowOff>19050</xdr:rowOff>
    </xdr:from>
    <xdr:to>
      <xdr:col>2</xdr:col>
      <xdr:colOff>200026</xdr:colOff>
      <xdr:row>34</xdr:row>
      <xdr:rowOff>89072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1321" r="42379"/>
        <a:stretch>
          <a:fillRect/>
        </a:stretch>
      </xdr:blipFill>
      <xdr:spPr bwMode="auto">
        <a:xfrm>
          <a:off x="695326" y="6172200"/>
          <a:ext cx="1390650" cy="45102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35</xdr:row>
      <xdr:rowOff>171451</xdr:rowOff>
    </xdr:from>
    <xdr:to>
      <xdr:col>2</xdr:col>
      <xdr:colOff>632705</xdr:colOff>
      <xdr:row>39</xdr:row>
      <xdr:rowOff>19051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8502" r="36828"/>
        <a:stretch>
          <a:fillRect/>
        </a:stretch>
      </xdr:blipFill>
      <xdr:spPr bwMode="auto">
        <a:xfrm>
          <a:off x="828675" y="6896101"/>
          <a:ext cx="1689980" cy="6096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133350</xdr:rowOff>
    </xdr:from>
    <xdr:ext cx="209550" cy="238125"/>
    <xdr:sp macro="" textlink="">
      <xdr:nvSpPr>
        <xdr:cNvPr id="3" name="2 CuadroTexto"/>
        <xdr:cNvSpPr txBox="1"/>
      </xdr:nvSpPr>
      <xdr:spPr>
        <a:xfrm>
          <a:off x="171450" y="133350"/>
          <a:ext cx="2095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219075</xdr:colOff>
      <xdr:row>0</xdr:row>
      <xdr:rowOff>104775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19075" y="10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419100</xdr:colOff>
      <xdr:row>3</xdr:row>
      <xdr:rowOff>104775</xdr:rowOff>
    </xdr:from>
    <xdr:to>
      <xdr:col>7</xdr:col>
      <xdr:colOff>400050</xdr:colOff>
      <xdr:row>12</xdr:row>
      <xdr:rowOff>0</xdr:rowOff>
    </xdr:to>
    <xdr:sp macro="" textlink="">
      <xdr:nvSpPr>
        <xdr:cNvPr id="5" name="4 CuadroTexto"/>
        <xdr:cNvSpPr txBox="1"/>
      </xdr:nvSpPr>
      <xdr:spPr>
        <a:xfrm>
          <a:off x="419100" y="676275"/>
          <a:ext cx="53149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13 Jariakin bat 80 ºC-tan 2,5 cm-ko barne diametroa duen tutueria batetik dario. Barneko konbekzio koefizientea 10 W/(m</a:t>
          </a:r>
          <a:r>
            <a:rPr lang="eu-ES" sz="1200" baseline="30000">
              <a:latin typeface="EHUSerif"/>
              <a:ea typeface="Calibri"/>
              <a:cs typeface="Times New Roman"/>
            </a:rPr>
            <a:t>2</a:t>
          </a:r>
          <a:r>
            <a:rPr lang="eu-ES" sz="1200">
              <a:latin typeface="EHUSerif"/>
              <a:ea typeface="Calibri"/>
              <a:cs typeface="Times New Roman"/>
            </a:rPr>
            <a:t> ºC), da eta tutueria altzairuzkoa da eta 0,5 cm-ko lodiera d (altzairuaren eroankortasun termikoa 43 W/(m ºC)). Giro tenperatura 20 ºC-koa da eta kanpo aldeko konbekzio koefizienteak 100 W/(m</a:t>
          </a:r>
          <a:r>
            <a:rPr lang="eu-ES" sz="1200" baseline="30000">
              <a:latin typeface="EHUSerif"/>
              <a:ea typeface="Calibri"/>
              <a:cs typeface="Times New Roman"/>
            </a:rPr>
            <a:t>2</a:t>
          </a:r>
          <a:r>
            <a:rPr lang="eu-ES" sz="1200">
              <a:latin typeface="EHUSerif"/>
              <a:ea typeface="Calibri"/>
              <a:cs typeface="Times New Roman"/>
            </a:rPr>
            <a:t> ºC) balio du. Kalkulatu bero transmisiorako koefiziente globala eta bero galerak 1m-ko tutueria luzeran.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2</xdr:col>
      <xdr:colOff>571499</xdr:colOff>
      <xdr:row>52</xdr:row>
      <xdr:rowOff>134557</xdr:rowOff>
    </xdr:from>
    <xdr:to>
      <xdr:col>8</xdr:col>
      <xdr:colOff>638174</xdr:colOff>
      <xdr:row>55</xdr:row>
      <xdr:rowOff>85725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391" r="20061"/>
        <a:stretch>
          <a:fillRect/>
        </a:stretch>
      </xdr:blipFill>
      <xdr:spPr bwMode="auto">
        <a:xfrm>
          <a:off x="2228849" y="10126282"/>
          <a:ext cx="4638675" cy="5226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114300</xdr:rowOff>
    </xdr:from>
    <xdr:to>
      <xdr:col>6</xdr:col>
      <xdr:colOff>114300</xdr:colOff>
      <xdr:row>4</xdr:row>
      <xdr:rowOff>180975</xdr:rowOff>
    </xdr:to>
    <xdr:sp macro="" textlink="">
      <xdr:nvSpPr>
        <xdr:cNvPr id="2" name="1 CuadroTexto"/>
        <xdr:cNvSpPr txBox="1"/>
      </xdr:nvSpPr>
      <xdr:spPr>
        <a:xfrm>
          <a:off x="190500" y="114300"/>
          <a:ext cx="44958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1. Kalkulatu hurrengo konposizioa duen elikagaiaren bero espezifikoa: karbohidratoak, %40, proteinak %20, gantzak %10, errautsak %5, hezetasuna %25.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200"/>
        </a:p>
      </xdr:txBody>
    </xdr:sp>
    <xdr:clientData/>
  </xdr:twoCellAnchor>
  <xdr:twoCellAnchor editAs="oneCell">
    <xdr:from>
      <xdr:col>0</xdr:col>
      <xdr:colOff>581026</xdr:colOff>
      <xdr:row>19</xdr:row>
      <xdr:rowOff>0</xdr:rowOff>
    </xdr:from>
    <xdr:to>
      <xdr:col>7</xdr:col>
      <xdr:colOff>314326</xdr:colOff>
      <xdr:row>20</xdr:row>
      <xdr:rowOff>151665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956" r="13781"/>
        <a:stretch>
          <a:fillRect/>
        </a:stretch>
      </xdr:blipFill>
      <xdr:spPr bwMode="auto">
        <a:xfrm>
          <a:off x="581026" y="3619500"/>
          <a:ext cx="5067300" cy="3421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6</xdr:col>
      <xdr:colOff>542925</xdr:colOff>
      <xdr:row>5</xdr:row>
      <xdr:rowOff>152400</xdr:rowOff>
    </xdr:to>
    <xdr:sp macro="" textlink="">
      <xdr:nvSpPr>
        <xdr:cNvPr id="2" name="1 CuadroTexto"/>
        <xdr:cNvSpPr txBox="1"/>
      </xdr:nvSpPr>
      <xdr:spPr>
        <a:xfrm>
          <a:off x="161925" y="114300"/>
          <a:ext cx="49530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i="1">
              <a:latin typeface="EHUSerif"/>
              <a:ea typeface="Calibri"/>
              <a:cs typeface="Times New Roman"/>
            </a:rPr>
            <a:t>2. </a:t>
          </a:r>
          <a:r>
            <a:rPr lang="eu-ES" sz="1200">
              <a:latin typeface="EHUSerif"/>
              <a:ea typeface="Calibri"/>
              <a:cs typeface="Times New Roman"/>
            </a:rPr>
            <a:t>Altzairu herdoilgaitzeko 1 cm-ko lodierako xafla baten alde bat 110 ºC-tan mantentzen da, eta beste aldea berriz 90 ºC-tan. Kalkulatu xaflan zeharreko bero fluxua egoera egonkorrean altzairu herdoilgaitzaren konduktibitate termikoa 17 W/(m ºC) baldin bada. </a:t>
          </a:r>
          <a:endParaRPr lang="es-ES" sz="1200">
            <a:latin typeface="+mn-lt"/>
            <a:ea typeface="Calibri"/>
            <a:cs typeface="Times New Roman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281168</xdr:colOff>
      <xdr:row>25</xdr:row>
      <xdr:rowOff>31615</xdr:rowOff>
    </xdr:to>
    <xdr:sp macro="" textlink="">
      <xdr:nvSpPr>
        <xdr:cNvPr id="4" name="3 Rectángulo"/>
        <xdr:cNvSpPr>
          <a:spLocks noRot="1" noChangeAspect="1" noMove="1" noResize="1" noEditPoints="1" noAdjustHandles="1" noChangeArrowheads="1" noChangeShapeType="1" noTextEdit="1"/>
        </xdr:cNvSpPr>
      </xdr:nvSpPr>
      <xdr:spPr>
        <a:xfrm>
          <a:off x="762000" y="4000500"/>
          <a:ext cx="2567168" cy="793615"/>
        </a:xfrm>
        <a:prstGeom prst="rect">
          <a:avLst/>
        </a:prstGeom>
        <a:blipFill rotWithShape="0"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defRPr/>
          </a:pPr>
          <a:r>
            <a:rPr lang="es-ES">
              <a:noFill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5</xdr:col>
      <xdr:colOff>733425</xdr:colOff>
      <xdr:row>3</xdr:row>
      <xdr:rowOff>152399</xdr:rowOff>
    </xdr:to>
    <xdr:sp macro="" textlink="">
      <xdr:nvSpPr>
        <xdr:cNvPr id="2" name="1 CuadroTexto"/>
        <xdr:cNvSpPr txBox="1"/>
      </xdr:nvSpPr>
      <xdr:spPr>
        <a:xfrm>
          <a:off x="85725" y="76200"/>
          <a:ext cx="4457700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latin typeface="EHUSerif"/>
              <a:ea typeface="Calibri"/>
              <a:cs typeface="Times New Roman"/>
            </a:rPr>
            <a:t>3. 2. ariketaren harira, kalkulatu kanpo gainazaletik 0.5 cm-ra zein den xaflaren tenperatura.</a:t>
          </a:r>
          <a:endParaRPr lang="es-ES" sz="1200"/>
        </a:p>
      </xdr:txBody>
    </xdr:sp>
    <xdr:clientData/>
  </xdr:twoCellAnchor>
  <xdr:twoCellAnchor editAs="oneCell">
    <xdr:from>
      <xdr:col>4</xdr:col>
      <xdr:colOff>684570</xdr:colOff>
      <xdr:row>5</xdr:row>
      <xdr:rowOff>19050</xdr:rowOff>
    </xdr:from>
    <xdr:to>
      <xdr:col>6</xdr:col>
      <xdr:colOff>647699</xdr:colOff>
      <xdr:row>19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2570" y="971550"/>
          <a:ext cx="1487129" cy="2667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704849</xdr:colOff>
      <xdr:row>20</xdr:row>
      <xdr:rowOff>38100</xdr:rowOff>
    </xdr:from>
    <xdr:to>
      <xdr:col>5</xdr:col>
      <xdr:colOff>575732</xdr:colOff>
      <xdr:row>24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49" y="3848100"/>
          <a:ext cx="3680883" cy="895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57151</xdr:rowOff>
    </xdr:from>
    <xdr:to>
      <xdr:col>7</xdr:col>
      <xdr:colOff>28575</xdr:colOff>
      <xdr:row>8</xdr:row>
      <xdr:rowOff>114301</xdr:rowOff>
    </xdr:to>
    <xdr:sp macro="" textlink="">
      <xdr:nvSpPr>
        <xdr:cNvPr id="2" name="1 CuadroTexto"/>
        <xdr:cNvSpPr txBox="1"/>
      </xdr:nvSpPr>
      <xdr:spPr>
        <a:xfrm>
          <a:off x="257175" y="57151"/>
          <a:ext cx="510540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4. Ur lurruna galdara batetik prozesu unitatera garraiatzen da altzairuzko tutueria batean zehar ( K= 43 W(mºC)). Tutueriaren barne diametroa 6 cm-koa da, lodiera 2 cm-koa eta luzeetara 40 m ditu. Barnetik darion ur lurrunak tutueriaren barne pareta 115 ºC-tan egotea eragiten badu eta aldiz, kanpoko tenperatura 90 ºC-koa bada, kalkulatu tutueriaren gainazaletik ingurunerako bero galerak.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4</xdr:col>
      <xdr:colOff>261184</xdr:colOff>
      <xdr:row>8</xdr:row>
      <xdr:rowOff>171449</xdr:rowOff>
    </xdr:from>
    <xdr:to>
      <xdr:col>5</xdr:col>
      <xdr:colOff>742950</xdr:colOff>
      <xdr:row>19</xdr:row>
      <xdr:rowOff>123824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184" y="1695449"/>
          <a:ext cx="1243766" cy="2047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8673</xdr:colOff>
      <xdr:row>24</xdr:row>
      <xdr:rowOff>161925</xdr:rowOff>
    </xdr:from>
    <xdr:to>
      <xdr:col>3</xdr:col>
      <xdr:colOff>676274</xdr:colOff>
      <xdr:row>34</xdr:row>
      <xdr:rowOff>134989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0673" y="4733925"/>
          <a:ext cx="2229701" cy="187806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66675</xdr:rowOff>
    </xdr:from>
    <xdr:to>
      <xdr:col>6</xdr:col>
      <xdr:colOff>476250</xdr:colOff>
      <xdr:row>8</xdr:row>
      <xdr:rowOff>76200</xdr:rowOff>
    </xdr:to>
    <xdr:sp macro="" textlink="">
      <xdr:nvSpPr>
        <xdr:cNvPr id="2" name="1 CuadroTexto"/>
        <xdr:cNvSpPr txBox="1"/>
      </xdr:nvSpPr>
      <xdr:spPr>
        <a:xfrm>
          <a:off x="219075" y="66675"/>
          <a:ext cx="482917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100">
              <a:latin typeface="EHUSerif"/>
              <a:ea typeface="Calibri"/>
              <a:cs typeface="Times New Roman"/>
            </a:rPr>
            <a:t>5. Biltegi hozkailu baten atea (3x6 cm) hormigoizkoa da eta 15 cm-ko lodiera dauka. Hormigoiaren eroankortasun termikoa txikia da (1.37 W/m ºC-koa) baina hala eta guztiz isolatu nahi da bero galera maximoak  500 W izan daitezen. Eskuragarri daukazun isolatzailearen eroankortasun termikoa 0.04 W/(mºC) bada, kalkulatu zein izan behar den isolatzailearen lodiera, biltegiko tenperatura 5 ºC-koa bada eta aldiz kanpoaldekoa 38 ºC-koa. </a:t>
          </a:r>
          <a:endParaRPr lang="es-ES" sz="11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6</xdr:col>
      <xdr:colOff>714375</xdr:colOff>
      <xdr:row>5</xdr:row>
      <xdr:rowOff>57150</xdr:rowOff>
    </xdr:from>
    <xdr:to>
      <xdr:col>13</xdr:col>
      <xdr:colOff>238125</xdr:colOff>
      <xdr:row>22</xdr:row>
      <xdr:rowOff>38100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06" r="4151"/>
        <a:stretch>
          <a:fillRect/>
        </a:stretch>
      </xdr:blipFill>
      <xdr:spPr bwMode="auto">
        <a:xfrm>
          <a:off x="5286375" y="1009650"/>
          <a:ext cx="4857750" cy="32194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95249</xdr:rowOff>
    </xdr:from>
    <xdr:to>
      <xdr:col>6</xdr:col>
      <xdr:colOff>666750</xdr:colOff>
      <xdr:row>10</xdr:row>
      <xdr:rowOff>85724</xdr:rowOff>
    </xdr:to>
    <xdr:sp macro="" textlink="">
      <xdr:nvSpPr>
        <xdr:cNvPr id="2" name="1 CuadroTexto"/>
        <xdr:cNvSpPr txBox="1"/>
      </xdr:nvSpPr>
      <xdr:spPr>
        <a:xfrm>
          <a:off x="352425" y="95249"/>
          <a:ext cx="488632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6. Olio bero bat garraiatzeko altzairu herdoilgaitzezko tutueria bat erabili nahi da (konduktibitate termikoa 17 W/(mºC)). Olioaren tenperatura 130 ºC-koa izan behar da. Erabiltzen den tutueriaren barne diametroa 8 cm-koa eta lodiera 2 cm-koa dira. Horrez gain, bero galerak ekiditeko tutueriari 0,04 m-ko lodierako isolatzailea gehitu zaio, zeinen eroankortasun termikoaren koefizientea 0.035 W/(mºC) den. Inguruko tenperatura 25 ºC-izanik, kalkulatu altzairuaren eta isolatzailearen arteko gainazaleko tenperatura egoera egonkorra suposatuz. Eztabaidatu emaitza.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200"/>
        </a:p>
      </xdr:txBody>
    </xdr:sp>
    <xdr:clientData/>
  </xdr:twoCellAnchor>
  <xdr:twoCellAnchor>
    <xdr:from>
      <xdr:col>0</xdr:col>
      <xdr:colOff>742950</xdr:colOff>
      <xdr:row>51</xdr:row>
      <xdr:rowOff>19050</xdr:rowOff>
    </xdr:from>
    <xdr:to>
      <xdr:col>4</xdr:col>
      <xdr:colOff>695325</xdr:colOff>
      <xdr:row>54</xdr:row>
      <xdr:rowOff>95250</xdr:rowOff>
    </xdr:to>
    <xdr:sp macro="" textlink="">
      <xdr:nvSpPr>
        <xdr:cNvPr id="3" name="2 CuadroTexto"/>
        <xdr:cNvSpPr txBox="1"/>
      </xdr:nvSpPr>
      <xdr:spPr>
        <a:xfrm>
          <a:off x="742950" y="9772650"/>
          <a:ext cx="30003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0" i="0" u="none" strike="noStrike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Ikus daitekeenez, T</a:t>
          </a:r>
          <a:r>
            <a:rPr lang="es-ES" sz="1100" b="0" i="0" u="none" strike="noStrike" baseline="-25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2</a:t>
          </a:r>
          <a:r>
            <a:rPr lang="es-ES" sz="1100" b="0" i="0" u="none" strike="noStrike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eta T</a:t>
          </a:r>
          <a:r>
            <a:rPr lang="es-ES" sz="1100" b="0" i="0" u="none" strike="noStrike" baseline="-25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1</a:t>
          </a:r>
          <a:r>
            <a:rPr lang="es-ES" sz="1100" b="0" i="0" u="none" strike="noStrike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tenperaturak oso antzekoak dira. Izan ere altzairuaren konduktibitatea oso altua da.</a:t>
          </a:r>
          <a:r>
            <a:rPr lang="es-ES">
              <a:latin typeface="EHUSerif" pitchFamily="50"/>
            </a:rPr>
            <a:t> </a:t>
          </a:r>
          <a:endParaRPr lang="es-ES" sz="1100">
            <a:latin typeface="EHUSerif" pitchFamily="50"/>
          </a:endParaRPr>
        </a:p>
      </xdr:txBody>
    </xdr:sp>
    <xdr:clientData/>
  </xdr:twoCellAnchor>
  <xdr:twoCellAnchor editAs="oneCell">
    <xdr:from>
      <xdr:col>7</xdr:col>
      <xdr:colOff>19050</xdr:colOff>
      <xdr:row>11</xdr:row>
      <xdr:rowOff>38100</xdr:rowOff>
    </xdr:from>
    <xdr:to>
      <xdr:col>11</xdr:col>
      <xdr:colOff>632295</xdr:colOff>
      <xdr:row>35</xdr:row>
      <xdr:rowOff>28575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2133600"/>
          <a:ext cx="3661245" cy="45624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104775</xdr:rowOff>
    </xdr:from>
    <xdr:to>
      <xdr:col>7</xdr:col>
      <xdr:colOff>304800</xdr:colOff>
      <xdr:row>12</xdr:row>
      <xdr:rowOff>171450</xdr:rowOff>
    </xdr:to>
    <xdr:sp macro="" textlink="">
      <xdr:nvSpPr>
        <xdr:cNvPr id="2" name="1 CuadroTexto"/>
        <xdr:cNvSpPr txBox="1"/>
      </xdr:nvSpPr>
      <xdr:spPr>
        <a:xfrm>
          <a:off x="266699" y="104775"/>
          <a:ext cx="5372101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7. Olio beroa 125 ºC-tan garraiatzeko altzairu herdoilgaitzezko tutueria bat erabili nahi da (konduktibitate termikoa 15 W/(mºC)). Tutueriaren barne gainazalaren tenperatura 120 ºC-koa eta bere dimentsioak hurrengoak dira: barne diametroa 5 cm eta lodiera 1 cm. Tutueriatik kanpo aldera bero galerak 25 W/m –tik behera mantentzeko tutueria isolatzea erabaki da baina espazioaren mugak isolatzailearen lodiera maximoa 5 cm-koa izatea dakar. Kanpo gainazala beti 20 ºC baino handiagoa izan behar da kanpoko aireak tutueriaren gainean kondentsatu ez dezan. Zein eroankortasun termikoko isolatzailea erosiko zenuke?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104775</xdr:rowOff>
    </xdr:from>
    <xdr:to>
      <xdr:col>6</xdr:col>
      <xdr:colOff>152399</xdr:colOff>
      <xdr:row>5</xdr:row>
      <xdr:rowOff>28575</xdr:rowOff>
    </xdr:to>
    <xdr:sp macro="" textlink="">
      <xdr:nvSpPr>
        <xdr:cNvPr id="2" name="1 CuadroTexto"/>
        <xdr:cNvSpPr txBox="1"/>
      </xdr:nvSpPr>
      <xdr:spPr>
        <a:xfrm>
          <a:off x="219074" y="104775"/>
          <a:ext cx="45053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8. Xaflatik ingurunerako bero fluxua 1000 W/m</a:t>
          </a:r>
          <a:r>
            <a:rPr lang="eu-ES" sz="1200" baseline="30000">
              <a:latin typeface="EHUSerif"/>
              <a:ea typeface="Calibri"/>
              <a:cs typeface="Times New Roman"/>
            </a:rPr>
            <a:t>2</a:t>
          </a:r>
          <a:r>
            <a:rPr lang="eu-ES" sz="1200">
              <a:latin typeface="EHUSerif"/>
              <a:ea typeface="Calibri"/>
              <a:cs typeface="Times New Roman"/>
            </a:rPr>
            <a:t>-koa da. Xaflaren gainazaleko tenperatura 120 ºC-koa da eta ingurukoa 20 ºC-koa. Kalkulatu konbekzio koefizientea.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342901</xdr:colOff>
      <xdr:row>17</xdr:row>
      <xdr:rowOff>114301</xdr:rowOff>
    </xdr:from>
    <xdr:to>
      <xdr:col>3</xdr:col>
      <xdr:colOff>219076</xdr:colOff>
      <xdr:row>20</xdr:row>
      <xdr:rowOff>171451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4" r="41683"/>
        <a:stretch>
          <a:fillRect/>
        </a:stretch>
      </xdr:blipFill>
      <xdr:spPr bwMode="auto">
        <a:xfrm>
          <a:off x="1104901" y="3381376"/>
          <a:ext cx="154305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9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Relationship Id="rId9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"/>
  <sheetViews>
    <sheetView tabSelected="1" workbookViewId="0">
      <selection activeCell="L27" sqref="L2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8:D61"/>
  <sheetViews>
    <sheetView workbookViewId="0">
      <selection activeCell="A8" sqref="A8:G62"/>
    </sheetView>
  </sheetViews>
  <sheetFormatPr baseColWidth="10" defaultRowHeight="15"/>
  <cols>
    <col min="2" max="2" width="17.7109375" customWidth="1"/>
  </cols>
  <sheetData>
    <row r="8" spans="2:3">
      <c r="B8" s="31" t="s">
        <v>0</v>
      </c>
    </row>
    <row r="9" spans="2:3" ht="3" customHeight="1"/>
    <row r="10" spans="2:3" hidden="1">
      <c r="B10" t="s">
        <v>76</v>
      </c>
      <c r="C10">
        <v>0.02</v>
      </c>
    </row>
    <row r="11" spans="2:3" hidden="1">
      <c r="B11" t="s">
        <v>23</v>
      </c>
      <c r="C11">
        <v>2.5000000000000001E-2</v>
      </c>
    </row>
    <row r="12" spans="2:3" hidden="1"/>
    <row r="13" spans="2:3">
      <c r="B13" t="s">
        <v>77</v>
      </c>
    </row>
    <row r="14" spans="2:3">
      <c r="B14" t="s">
        <v>27</v>
      </c>
      <c r="C14">
        <v>20</v>
      </c>
    </row>
    <row r="15" spans="2:3">
      <c r="B15" t="s">
        <v>26</v>
      </c>
      <c r="C15">
        <v>60</v>
      </c>
    </row>
    <row r="17" spans="2:3">
      <c r="B17" t="s">
        <v>78</v>
      </c>
      <c r="C17">
        <v>90</v>
      </c>
    </row>
    <row r="18" spans="2:3">
      <c r="B18" t="s">
        <v>25</v>
      </c>
      <c r="C18">
        <v>1</v>
      </c>
    </row>
    <row r="21" spans="2:3">
      <c r="B21" s="33" t="s">
        <v>6</v>
      </c>
    </row>
    <row r="23" spans="2:3">
      <c r="B23" t="s">
        <v>79</v>
      </c>
    </row>
    <row r="25" spans="2:3">
      <c r="B25" t="s">
        <v>80</v>
      </c>
    </row>
    <row r="27" spans="2:3">
      <c r="B27" t="s">
        <v>87</v>
      </c>
    </row>
    <row r="29" spans="2:3">
      <c r="B29" t="s">
        <v>88</v>
      </c>
    </row>
    <row r="30" spans="2:3">
      <c r="B30" t="s">
        <v>81</v>
      </c>
      <c r="C30">
        <f>(C15+C14)/2</f>
        <v>40</v>
      </c>
    </row>
    <row r="32" spans="2:3">
      <c r="B32" t="s">
        <v>82</v>
      </c>
    </row>
    <row r="34" spans="2:4">
      <c r="B34" t="s">
        <v>83</v>
      </c>
      <c r="C34">
        <v>992.2</v>
      </c>
    </row>
    <row r="35" spans="2:4">
      <c r="B35" t="s">
        <v>84</v>
      </c>
      <c r="C35">
        <v>4.1749999999999998</v>
      </c>
    </row>
    <row r="36" spans="2:4">
      <c r="B36" t="s">
        <v>13</v>
      </c>
      <c r="C36">
        <v>0.63300000000000001</v>
      </c>
    </row>
    <row r="37" spans="2:4">
      <c r="B37" t="s">
        <v>85</v>
      </c>
      <c r="C37" s="34">
        <v>6.5802600000000003E-4</v>
      </c>
    </row>
    <row r="38" spans="2:4">
      <c r="B38" t="s">
        <v>86</v>
      </c>
      <c r="C38">
        <v>4.3</v>
      </c>
    </row>
    <row r="40" spans="2:4">
      <c r="B40" t="s">
        <v>89</v>
      </c>
    </row>
    <row r="42" spans="2:4">
      <c r="B42" t="s">
        <v>90</v>
      </c>
      <c r="C42" s="34">
        <f>C11*C34*C44/C37</f>
        <v>1547.9504393263035</v>
      </c>
      <c r="D42" t="s">
        <v>92</v>
      </c>
    </row>
    <row r="44" spans="2:4">
      <c r="B44" t="s">
        <v>91</v>
      </c>
      <c r="C44" s="4">
        <f>C10*4/(C34*PI()*C11^2)</f>
        <v>4.1063964353482363E-2</v>
      </c>
    </row>
    <row r="46" spans="2:4">
      <c r="B46" t="s">
        <v>93</v>
      </c>
    </row>
    <row r="51" spans="2:3">
      <c r="B51" s="7" t="s">
        <v>94</v>
      </c>
      <c r="C51" s="34">
        <v>3.0890900000000001E-4</v>
      </c>
    </row>
    <row r="53" spans="2:3">
      <c r="B53" t="s">
        <v>95</v>
      </c>
      <c r="C53" s="35">
        <f>1.86*(C42*C38*C11/C18)^0.33*(C37/C51)^0.14</f>
        <v>11.180862674735248</v>
      </c>
    </row>
    <row r="55" spans="2:3">
      <c r="B55" t="s">
        <v>96</v>
      </c>
    </row>
    <row r="61" spans="2:3" ht="17.25">
      <c r="B61" s="8" t="s">
        <v>75</v>
      </c>
      <c r="C61" s="27">
        <f>C53*C36/C11</f>
        <v>283.09944292429645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7170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9:D64"/>
  <sheetViews>
    <sheetView topLeftCell="A28" workbookViewId="0">
      <selection activeCell="F56" sqref="F56"/>
    </sheetView>
  </sheetViews>
  <sheetFormatPr baseColWidth="10" defaultRowHeight="15"/>
  <cols>
    <col min="2" max="2" width="15.28515625" customWidth="1"/>
  </cols>
  <sheetData>
    <row r="9" spans="2:3">
      <c r="B9" s="31" t="s">
        <v>0</v>
      </c>
    </row>
    <row r="11" spans="2:3">
      <c r="B11" t="s">
        <v>76</v>
      </c>
      <c r="C11">
        <v>0.2</v>
      </c>
    </row>
    <row r="12" spans="2:3">
      <c r="B12" t="s">
        <v>23</v>
      </c>
      <c r="C12">
        <v>2.5000000000000001E-2</v>
      </c>
    </row>
    <row r="14" spans="2:3">
      <c r="B14" t="s">
        <v>77</v>
      </c>
    </row>
    <row r="15" spans="2:3">
      <c r="B15" t="s">
        <v>27</v>
      </c>
      <c r="C15">
        <v>20</v>
      </c>
    </row>
    <row r="16" spans="2:3">
      <c r="B16" t="s">
        <v>26</v>
      </c>
      <c r="C16">
        <v>60</v>
      </c>
    </row>
    <row r="18" spans="2:3">
      <c r="B18" t="s">
        <v>78</v>
      </c>
      <c r="C18">
        <v>90</v>
      </c>
    </row>
    <row r="19" spans="2:3">
      <c r="B19" t="s">
        <v>25</v>
      </c>
      <c r="C19">
        <v>1</v>
      </c>
    </row>
    <row r="22" spans="2:3">
      <c r="B22" s="33" t="s">
        <v>6</v>
      </c>
    </row>
    <row r="24" spans="2:3">
      <c r="B24" t="s">
        <v>79</v>
      </c>
    </row>
    <row r="26" spans="2:3">
      <c r="B26" t="s">
        <v>80</v>
      </c>
    </row>
    <row r="28" spans="2:3">
      <c r="B28" t="s">
        <v>87</v>
      </c>
    </row>
    <row r="30" spans="2:3">
      <c r="B30" t="s">
        <v>88</v>
      </c>
    </row>
    <row r="31" spans="2:3">
      <c r="B31" t="s">
        <v>81</v>
      </c>
      <c r="C31">
        <f>(C16+C15)/2</f>
        <v>40</v>
      </c>
    </row>
    <row r="33" spans="2:4">
      <c r="B33" t="s">
        <v>82</v>
      </c>
    </row>
    <row r="35" spans="2:4">
      <c r="B35" t="s">
        <v>83</v>
      </c>
      <c r="C35">
        <v>992.2</v>
      </c>
    </row>
    <row r="36" spans="2:4">
      <c r="B36" t="s">
        <v>84</v>
      </c>
      <c r="C36">
        <v>4.1749999999999998</v>
      </c>
    </row>
    <row r="37" spans="2:4">
      <c r="B37" t="s">
        <v>13</v>
      </c>
      <c r="C37">
        <v>0.63300000000000001</v>
      </c>
    </row>
    <row r="38" spans="2:4">
      <c r="B38" t="s">
        <v>85</v>
      </c>
      <c r="C38" s="34">
        <v>6.5802600000000003E-4</v>
      </c>
    </row>
    <row r="39" spans="2:4">
      <c r="B39" t="s">
        <v>86</v>
      </c>
      <c r="C39">
        <v>4.3</v>
      </c>
    </row>
    <row r="41" spans="2:4">
      <c r="B41" t="s">
        <v>89</v>
      </c>
    </row>
    <row r="43" spans="2:4">
      <c r="B43" t="s">
        <v>90</v>
      </c>
      <c r="C43" s="34">
        <f>C12*C35*C45/C38</f>
        <v>15479.504393263034</v>
      </c>
      <c r="D43" t="s">
        <v>97</v>
      </c>
    </row>
    <row r="45" spans="2:4">
      <c r="B45" t="s">
        <v>91</v>
      </c>
      <c r="C45" s="4">
        <f>C11*4/(C35*PI()*C12^2)</f>
        <v>0.41063964353482363</v>
      </c>
    </row>
    <row r="47" spans="2:4">
      <c r="B47" t="s">
        <v>93</v>
      </c>
    </row>
    <row r="52" spans="2:3">
      <c r="B52" s="7" t="s">
        <v>94</v>
      </c>
      <c r="C52" s="34">
        <v>3.0890900000000001E-4</v>
      </c>
    </row>
    <row r="54" spans="2:3">
      <c r="B54" t="s">
        <v>95</v>
      </c>
      <c r="C54" s="35">
        <f>0.023*C43^0.8*C39^0.33*(C38/C52)^0.14</f>
        <v>93.01560532431364</v>
      </c>
    </row>
    <row r="56" spans="2:3">
      <c r="B56" t="s">
        <v>96</v>
      </c>
    </row>
    <row r="62" spans="2:3" ht="17.25">
      <c r="B62" s="8" t="s">
        <v>75</v>
      </c>
      <c r="C62" s="27">
        <f>C54*C37/C12</f>
        <v>2355.1551268116214</v>
      </c>
    </row>
    <row r="64" spans="2:3">
      <c r="B64" t="s">
        <v>98</v>
      </c>
    </row>
  </sheetData>
  <pageMargins left="0.7" right="0.7" top="0.75" bottom="0.75" header="0.3" footer="0.3"/>
  <drawing r:id="rId1"/>
  <legacyDrawing r:id="rId2"/>
  <oleObjects>
    <oleObject progId="Equation.3" shapeId="8193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0:C53"/>
  <sheetViews>
    <sheetView topLeftCell="A36" workbookViewId="0">
      <selection activeCell="E56" sqref="E56"/>
    </sheetView>
  </sheetViews>
  <sheetFormatPr baseColWidth="10" defaultRowHeight="15"/>
  <cols>
    <col min="2" max="2" width="18.28515625" customWidth="1"/>
  </cols>
  <sheetData>
    <row r="10" spans="2:3">
      <c r="B10" s="31" t="s">
        <v>0</v>
      </c>
    </row>
    <row r="12" spans="2:3">
      <c r="B12" t="s">
        <v>91</v>
      </c>
      <c r="C12">
        <v>0.3</v>
      </c>
    </row>
    <row r="13" spans="2:3">
      <c r="B13" t="s">
        <v>99</v>
      </c>
      <c r="C13">
        <v>90</v>
      </c>
    </row>
    <row r="14" spans="2:3">
      <c r="B14" t="s">
        <v>100</v>
      </c>
      <c r="C14">
        <v>30</v>
      </c>
    </row>
    <row r="16" spans="2:3">
      <c r="B16" t="s">
        <v>101</v>
      </c>
      <c r="C16" s="34">
        <v>5.0000000000000001E-3</v>
      </c>
    </row>
    <row r="19" spans="2:3">
      <c r="B19" s="3" t="s">
        <v>6</v>
      </c>
    </row>
    <row r="21" spans="2:3">
      <c r="B21" t="s">
        <v>102</v>
      </c>
    </row>
    <row r="23" spans="2:3">
      <c r="B23" t="s">
        <v>103</v>
      </c>
    </row>
    <row r="25" spans="2:3">
      <c r="B25" t="s">
        <v>46</v>
      </c>
      <c r="C25">
        <f>(C13+C14)/2</f>
        <v>60</v>
      </c>
    </row>
    <row r="27" spans="2:3">
      <c r="B27" t="s">
        <v>104</v>
      </c>
    </row>
    <row r="29" spans="2:3" ht="17.25">
      <c r="B29" t="s">
        <v>107</v>
      </c>
      <c r="C29">
        <v>1.0249999999999999</v>
      </c>
    </row>
    <row r="30" spans="2:3">
      <c r="B30" t="s">
        <v>84</v>
      </c>
      <c r="C30">
        <v>1017</v>
      </c>
    </row>
    <row r="31" spans="2:3">
      <c r="B31" t="s">
        <v>105</v>
      </c>
      <c r="C31">
        <v>2.7900000000000001E-2</v>
      </c>
    </row>
    <row r="32" spans="2:3">
      <c r="B32" s="7" t="s">
        <v>106</v>
      </c>
      <c r="C32" s="34">
        <v>1.9907000000000001E-5</v>
      </c>
    </row>
    <row r="33" spans="2:3">
      <c r="B33" s="7" t="s">
        <v>86</v>
      </c>
      <c r="C33">
        <v>0.71</v>
      </c>
    </row>
    <row r="35" spans="2:3">
      <c r="B35" t="s">
        <v>108</v>
      </c>
    </row>
    <row r="37" spans="2:3">
      <c r="B37" t="s">
        <v>90</v>
      </c>
      <c r="C37" s="26">
        <f>C16*C12*C29/C32</f>
        <v>77.234138745164998</v>
      </c>
    </row>
    <row r="39" spans="2:3">
      <c r="B39" t="s">
        <v>109</v>
      </c>
    </row>
    <row r="49" spans="2:3">
      <c r="B49" t="s">
        <v>95</v>
      </c>
      <c r="C49" s="26">
        <f>2+0.6*C37^0.5*C33^(1/3)</f>
        <v>6.7040870945502631</v>
      </c>
    </row>
    <row r="51" spans="2:3">
      <c r="B51" t="s">
        <v>74</v>
      </c>
    </row>
    <row r="53" spans="2:3" ht="17.25">
      <c r="B53" s="8" t="s">
        <v>75</v>
      </c>
      <c r="C53" s="22">
        <f>C49*C31/C16</f>
        <v>37.408805987590469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0:C59"/>
  <sheetViews>
    <sheetView workbookViewId="0">
      <selection activeCell="I37" sqref="I37"/>
    </sheetView>
  </sheetViews>
  <sheetFormatPr baseColWidth="10" defaultRowHeight="15"/>
  <cols>
    <col min="2" max="2" width="16.85546875" customWidth="1"/>
  </cols>
  <sheetData>
    <row r="10" spans="2:3">
      <c r="B10" s="31" t="s">
        <v>0</v>
      </c>
    </row>
    <row r="12" spans="2:3">
      <c r="B12" t="s">
        <v>110</v>
      </c>
      <c r="C12">
        <v>0.1</v>
      </c>
    </row>
    <row r="13" spans="2:3">
      <c r="B13" t="s">
        <v>111</v>
      </c>
      <c r="C13">
        <v>130</v>
      </c>
    </row>
    <row r="14" spans="2:3">
      <c r="B14" t="s">
        <v>112</v>
      </c>
      <c r="C14">
        <v>30</v>
      </c>
    </row>
    <row r="17" spans="2:3">
      <c r="B17" s="3" t="s">
        <v>6</v>
      </c>
    </row>
    <row r="19" spans="2:3">
      <c r="B19" t="s">
        <v>113</v>
      </c>
    </row>
    <row r="21" spans="2:3">
      <c r="B21" t="s">
        <v>114</v>
      </c>
      <c r="C21">
        <f>(C13+C14)/2</f>
        <v>80</v>
      </c>
    </row>
    <row r="23" spans="2:3">
      <c r="B23" t="s">
        <v>115</v>
      </c>
    </row>
    <row r="25" spans="2:3" ht="17.25">
      <c r="B25" t="s">
        <v>107</v>
      </c>
      <c r="C25">
        <v>0.96799999999999997</v>
      </c>
    </row>
    <row r="26" spans="2:3" ht="17.25">
      <c r="B26" s="7" t="s">
        <v>116</v>
      </c>
      <c r="C26" s="34">
        <v>2.8300000000000001E-3</v>
      </c>
    </row>
    <row r="27" spans="2:3">
      <c r="B27" s="7" t="s">
        <v>84</v>
      </c>
      <c r="C27">
        <v>1.0189999999999999</v>
      </c>
    </row>
    <row r="28" spans="2:3">
      <c r="B28" s="7" t="s">
        <v>105</v>
      </c>
      <c r="C28">
        <v>2.93E-2</v>
      </c>
    </row>
    <row r="29" spans="2:3">
      <c r="B29" s="7" t="s">
        <v>106</v>
      </c>
      <c r="C29" s="34">
        <v>2.0789999999999999E-5</v>
      </c>
    </row>
    <row r="30" spans="2:3">
      <c r="B30" s="7" t="s">
        <v>86</v>
      </c>
      <c r="C30">
        <v>0.71</v>
      </c>
    </row>
    <row r="32" spans="2:3">
      <c r="B32" t="s">
        <v>117</v>
      </c>
    </row>
    <row r="35" spans="2:3">
      <c r="B35" t="s">
        <v>119</v>
      </c>
    </row>
    <row r="41" spans="2:3">
      <c r="B41" t="s">
        <v>120</v>
      </c>
      <c r="C41" s="34">
        <f>C12^3*C25^2*9.8*C26*(C13-C14)/C29^2</f>
        <v>6012488.3401920469</v>
      </c>
    </row>
    <row r="43" spans="2:3">
      <c r="B43" t="s">
        <v>118</v>
      </c>
      <c r="C43" s="34">
        <f>C41*C30</f>
        <v>4268866.7215363532</v>
      </c>
    </row>
    <row r="45" spans="2:3">
      <c r="B45" t="s">
        <v>121</v>
      </c>
    </row>
    <row r="57" spans="2:3">
      <c r="B57" t="s">
        <v>95</v>
      </c>
      <c r="C57" s="35">
        <f>(0.6+(0.387*C43^(1/6)/(1+(0.559/C30)^(9/16))^(8/27)))^2</f>
        <v>22.014552063831609</v>
      </c>
    </row>
    <row r="59" spans="2:3" ht="17.25">
      <c r="B59" s="8" t="s">
        <v>122</v>
      </c>
      <c r="C59" s="22">
        <f>C57*C28/C12</f>
        <v>6.4502637547026609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9220" r:id="rId4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4:H57"/>
  <sheetViews>
    <sheetView topLeftCell="A40" workbookViewId="0">
      <selection activeCell="E69" sqref="E69"/>
    </sheetView>
  </sheetViews>
  <sheetFormatPr baseColWidth="10" defaultRowHeight="15"/>
  <cols>
    <col min="2" max="2" width="13.42578125" customWidth="1"/>
  </cols>
  <sheetData>
    <row r="14" spans="2:3">
      <c r="B14" s="31" t="s">
        <v>0</v>
      </c>
    </row>
    <row r="16" spans="2:3">
      <c r="B16" t="s">
        <v>23</v>
      </c>
      <c r="C16">
        <v>2.5000000000000001E-2</v>
      </c>
    </row>
    <row r="17" spans="2:7" ht="17.25">
      <c r="B17" t="s">
        <v>123</v>
      </c>
      <c r="C17">
        <v>10</v>
      </c>
    </row>
    <row r="18" spans="2:7">
      <c r="B18" t="s">
        <v>24</v>
      </c>
      <c r="C18" s="34">
        <v>5.0000000000000001E-3</v>
      </c>
    </row>
    <row r="19" spans="2:7">
      <c r="B19" t="s">
        <v>13</v>
      </c>
      <c r="C19">
        <v>43</v>
      </c>
    </row>
    <row r="20" spans="2:7" ht="17.25">
      <c r="B20" t="s">
        <v>125</v>
      </c>
      <c r="C20">
        <v>100</v>
      </c>
    </row>
    <row r="21" spans="2:7">
      <c r="B21" t="s">
        <v>25</v>
      </c>
      <c r="C21">
        <v>1</v>
      </c>
    </row>
    <row r="22" spans="2:7">
      <c r="B22" t="s">
        <v>26</v>
      </c>
      <c r="C22">
        <v>20</v>
      </c>
    </row>
    <row r="23" spans="2:7">
      <c r="B23" t="s">
        <v>124</v>
      </c>
      <c r="C23">
        <v>80</v>
      </c>
    </row>
    <row r="25" spans="2:7">
      <c r="B25" s="3" t="s">
        <v>6</v>
      </c>
    </row>
    <row r="27" spans="2:7">
      <c r="B27" t="s">
        <v>126</v>
      </c>
    </row>
    <row r="29" spans="2:7">
      <c r="B29" t="s">
        <v>127</v>
      </c>
      <c r="C29" s="34">
        <f>C16+C18</f>
        <v>3.0000000000000002E-2</v>
      </c>
    </row>
    <row r="31" spans="2:7">
      <c r="B31" t="s">
        <v>128</v>
      </c>
      <c r="G31" t="s">
        <v>133</v>
      </c>
    </row>
    <row r="37" spans="2:2">
      <c r="B37" t="s">
        <v>129</v>
      </c>
    </row>
    <row r="42" spans="2:2">
      <c r="B42" t="s">
        <v>130</v>
      </c>
    </row>
    <row r="49" spans="2:8">
      <c r="B49" t="s">
        <v>131</v>
      </c>
      <c r="C49" s="26">
        <f>1/C17+LN((C29/2)/(C16/2))*(C16/2)/C19+(C16/2)/(C20*C29/2)</f>
        <v>0.10838633378588972</v>
      </c>
      <c r="G49" t="s">
        <v>135</v>
      </c>
      <c r="H49" s="26">
        <f>(C29/2)/(C17*(C16/2))+LN((C29/2)/(C16/2))*(C29/2)/C19+1/C20</f>
        <v>0.13006360054306768</v>
      </c>
    </row>
    <row r="51" spans="2:8" ht="17.25">
      <c r="B51" s="8" t="s">
        <v>132</v>
      </c>
      <c r="C51" s="22">
        <f>1/C49</f>
        <v>9.2262554241887749</v>
      </c>
      <c r="G51" s="8" t="s">
        <v>136</v>
      </c>
      <c r="H51" s="22">
        <f>1/H49</f>
        <v>7.6885461868239773</v>
      </c>
    </row>
    <row r="53" spans="2:8">
      <c r="B53" t="s">
        <v>134</v>
      </c>
    </row>
    <row r="57" spans="2:8">
      <c r="B57" s="8" t="s">
        <v>19</v>
      </c>
      <c r="C57" s="22">
        <f>C51*2*PI()*(C16/2)*C21*(C23-C22)</f>
        <v>43.477704391161652</v>
      </c>
      <c r="G57" s="8" t="s">
        <v>19</v>
      </c>
      <c r="H57" s="22">
        <f>H51*2*PI()*(C29/2)*C21*(C23-C22)</f>
        <v>43.477704391161645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10241" r:id="rId4"/>
    <oleObject progId="Equation.3" shapeId="10242" r:id="rId5"/>
    <oleObject progId="Equation.3" shapeId="10243" r:id="rId6"/>
    <oleObject progId="Equation.3" shapeId="10245" r:id="rId7"/>
    <oleObject progId="Equation.3" shapeId="10246" r:id="rId8"/>
    <oleObject progId="Equation.3" shapeId="10247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8:C23"/>
  <sheetViews>
    <sheetView workbookViewId="0">
      <selection activeCell="G23" sqref="G23"/>
    </sheetView>
  </sheetViews>
  <sheetFormatPr baseColWidth="10" defaultRowHeight="15"/>
  <sheetData>
    <row r="8" spans="2:3">
      <c r="B8" s="1" t="s">
        <v>0</v>
      </c>
    </row>
    <row r="10" spans="2:3">
      <c r="B10" s="2" t="s">
        <v>1</v>
      </c>
      <c r="C10">
        <v>0.4</v>
      </c>
    </row>
    <row r="11" spans="2:3">
      <c r="B11" s="2" t="s">
        <v>2</v>
      </c>
      <c r="C11">
        <v>0.2</v>
      </c>
    </row>
    <row r="12" spans="2:3">
      <c r="B12" s="2" t="s">
        <v>3</v>
      </c>
      <c r="C12">
        <v>0.1</v>
      </c>
    </row>
    <row r="13" spans="2:3">
      <c r="B13" s="2" t="s">
        <v>4</v>
      </c>
      <c r="C13">
        <v>0.05</v>
      </c>
    </row>
    <row r="14" spans="2:3">
      <c r="B14" s="2" t="s">
        <v>5</v>
      </c>
      <c r="C14">
        <v>0.25</v>
      </c>
    </row>
    <row r="16" spans="2:3">
      <c r="B16" s="3" t="s">
        <v>6</v>
      </c>
    </row>
    <row r="18" spans="2:3">
      <c r="B18" t="s">
        <v>7</v>
      </c>
    </row>
    <row r="23" spans="2:3">
      <c r="B23" s="5" t="s">
        <v>8</v>
      </c>
      <c r="C23" s="6">
        <f>1.424*C10+1.549*C11+1.675*C12+0.837*C13+4.187*C14</f>
        <v>2.1355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8:C27"/>
  <sheetViews>
    <sheetView workbookViewId="0">
      <selection activeCell="C31" sqref="C31"/>
    </sheetView>
  </sheetViews>
  <sheetFormatPr baseColWidth="10" defaultRowHeight="15"/>
  <sheetData>
    <row r="8" spans="2:3">
      <c r="B8" s="1" t="s">
        <v>0</v>
      </c>
    </row>
    <row r="10" spans="2:3">
      <c r="B10" s="2" t="s">
        <v>9</v>
      </c>
      <c r="C10">
        <v>0.01</v>
      </c>
    </row>
    <row r="11" spans="2:3">
      <c r="B11" s="2" t="s">
        <v>10</v>
      </c>
      <c r="C11">
        <v>110</v>
      </c>
    </row>
    <row r="12" spans="2:3">
      <c r="B12" s="2" t="s">
        <v>11</v>
      </c>
      <c r="C12">
        <v>90</v>
      </c>
    </row>
    <row r="14" spans="2:3">
      <c r="B14" s="2" t="s">
        <v>12</v>
      </c>
    </row>
    <row r="15" spans="2:3">
      <c r="B15" s="2" t="s">
        <v>13</v>
      </c>
      <c r="C15">
        <v>17</v>
      </c>
    </row>
    <row r="18" spans="2:3">
      <c r="B18" s="3" t="s">
        <v>6</v>
      </c>
    </row>
    <row r="20" spans="2:3">
      <c r="B20" t="s">
        <v>14</v>
      </c>
    </row>
    <row r="27" spans="2:3" ht="17.25">
      <c r="B27" s="8" t="s">
        <v>15</v>
      </c>
      <c r="C27" s="9">
        <f>C15*(C11-C12)/C10</f>
        <v>34000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7:C37"/>
  <sheetViews>
    <sheetView topLeftCell="A3" workbookViewId="0">
      <selection activeCell="B37" sqref="B37:C37"/>
    </sheetView>
  </sheetViews>
  <sheetFormatPr baseColWidth="10" defaultRowHeight="15"/>
  <sheetData>
    <row r="7" spans="2:3">
      <c r="B7" s="1" t="s">
        <v>0</v>
      </c>
    </row>
    <row r="9" spans="2:3">
      <c r="B9" s="2" t="s">
        <v>9</v>
      </c>
      <c r="C9">
        <v>0.01</v>
      </c>
    </row>
    <row r="10" spans="2:3">
      <c r="B10" s="2" t="s">
        <v>10</v>
      </c>
      <c r="C10">
        <v>110</v>
      </c>
    </row>
    <row r="11" spans="2:3">
      <c r="B11" s="2" t="s">
        <v>11</v>
      </c>
      <c r="C11">
        <v>90</v>
      </c>
    </row>
    <row r="13" spans="2:3">
      <c r="B13" s="2" t="s">
        <v>12</v>
      </c>
    </row>
    <row r="14" spans="2:3">
      <c r="B14" s="2" t="s">
        <v>13</v>
      </c>
      <c r="C14">
        <v>17</v>
      </c>
    </row>
    <row r="15" spans="2:3">
      <c r="B15" s="2"/>
    </row>
    <row r="16" spans="2:3">
      <c r="B16" s="2" t="s">
        <v>16</v>
      </c>
      <c r="C16">
        <v>5.0000000000000001E-3</v>
      </c>
    </row>
    <row r="19" spans="2:3">
      <c r="B19" s="3" t="s">
        <v>6</v>
      </c>
    </row>
    <row r="27" spans="2:3" ht="17.25">
      <c r="B27" s="2" t="s">
        <v>17</v>
      </c>
      <c r="C27">
        <v>1</v>
      </c>
    </row>
    <row r="28" spans="2:3">
      <c r="B28" s="2" t="s">
        <v>9</v>
      </c>
      <c r="C28">
        <v>0.01</v>
      </c>
    </row>
    <row r="29" spans="2:3">
      <c r="B29" s="2" t="s">
        <v>18</v>
      </c>
      <c r="C29" s="10">
        <f>C9/C14/C27</f>
        <v>5.8823529411764712E-4</v>
      </c>
    </row>
    <row r="31" spans="2:3">
      <c r="B31" s="8" t="s">
        <v>19</v>
      </c>
      <c r="C31" s="9">
        <f>C14*(C10-C11)/C9</f>
        <v>34000</v>
      </c>
    </row>
    <row r="33" spans="2:3">
      <c r="B33" t="s">
        <v>21</v>
      </c>
    </row>
    <row r="34" spans="2:3">
      <c r="B34" s="2" t="s">
        <v>9</v>
      </c>
      <c r="C34">
        <v>5.0000000000000001E-3</v>
      </c>
    </row>
    <row r="35" spans="2:3">
      <c r="B35" s="2" t="s">
        <v>18</v>
      </c>
      <c r="C35" s="10">
        <f>C34/C14</f>
        <v>2.9411764705882356E-4</v>
      </c>
    </row>
    <row r="37" spans="2:3" ht="18">
      <c r="B37" s="8" t="s">
        <v>20</v>
      </c>
      <c r="C37" s="9">
        <f>C10-C31*C35</f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1:C44"/>
  <sheetViews>
    <sheetView topLeftCell="A16" workbookViewId="0">
      <selection activeCell="G44" sqref="G44"/>
    </sheetView>
  </sheetViews>
  <sheetFormatPr baseColWidth="10" defaultRowHeight="15"/>
  <cols>
    <col min="3" max="3" width="12" bestFit="1" customWidth="1"/>
  </cols>
  <sheetData>
    <row r="11" spans="2:3">
      <c r="B11" s="1" t="s">
        <v>0</v>
      </c>
    </row>
    <row r="13" spans="2:3">
      <c r="B13" s="2" t="s">
        <v>22</v>
      </c>
      <c r="C13">
        <v>43</v>
      </c>
    </row>
    <row r="14" spans="2:3">
      <c r="B14" s="2" t="s">
        <v>23</v>
      </c>
      <c r="C14">
        <v>0.06</v>
      </c>
    </row>
    <row r="15" spans="2:3">
      <c r="B15" s="2" t="s">
        <v>24</v>
      </c>
      <c r="C15">
        <v>0.02</v>
      </c>
    </row>
    <row r="16" spans="2:3">
      <c r="B16" s="2" t="s">
        <v>25</v>
      </c>
      <c r="C16">
        <v>40</v>
      </c>
    </row>
    <row r="18" spans="2:3">
      <c r="B18" s="2" t="s">
        <v>27</v>
      </c>
      <c r="C18">
        <v>115</v>
      </c>
    </row>
    <row r="19" spans="2:3">
      <c r="B19" s="2" t="s">
        <v>26</v>
      </c>
      <c r="C19">
        <v>90</v>
      </c>
    </row>
    <row r="22" spans="2:3">
      <c r="B22" s="3" t="s">
        <v>6</v>
      </c>
    </row>
    <row r="24" spans="2:3">
      <c r="B24" t="s">
        <v>28</v>
      </c>
    </row>
    <row r="37" spans="2:3">
      <c r="B37" t="s">
        <v>29</v>
      </c>
    </row>
    <row r="39" spans="2:3">
      <c r="B39" t="s">
        <v>30</v>
      </c>
      <c r="C39">
        <f>C14/2</f>
        <v>0.03</v>
      </c>
    </row>
    <row r="40" spans="2:3">
      <c r="B40" t="s">
        <v>31</v>
      </c>
      <c r="C40">
        <f>C39+C15</f>
        <v>0.05</v>
      </c>
    </row>
    <row r="42" spans="2:3">
      <c r="B42" t="s">
        <v>18</v>
      </c>
      <c r="C42" s="11">
        <f>LN(C40/C39)/(2*PI()*C16*C13)</f>
        <v>4.7267687837417557E-5</v>
      </c>
    </row>
    <row r="44" spans="2:3">
      <c r="B44" s="8" t="s">
        <v>32</v>
      </c>
      <c r="C44" s="12">
        <f>(C18-C19)/C42</f>
        <v>528902.53667558834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2:F49"/>
  <sheetViews>
    <sheetView topLeftCell="A10" zoomScaleNormal="100" workbookViewId="0">
      <selection activeCell="I29" sqref="I29"/>
    </sheetView>
  </sheetViews>
  <sheetFormatPr baseColWidth="10" defaultRowHeight="15"/>
  <sheetData>
    <row r="12" spans="2:3">
      <c r="B12" s="1" t="s">
        <v>0</v>
      </c>
    </row>
    <row r="14" spans="2:3">
      <c r="B14" t="s">
        <v>33</v>
      </c>
    </row>
    <row r="15" spans="2:3">
      <c r="B15" t="s">
        <v>34</v>
      </c>
      <c r="C15">
        <v>6</v>
      </c>
    </row>
    <row r="16" spans="2:3">
      <c r="B16" t="s">
        <v>35</v>
      </c>
      <c r="C16">
        <v>3</v>
      </c>
    </row>
    <row r="18" spans="2:6">
      <c r="B18" s="7" t="s">
        <v>43</v>
      </c>
      <c r="C18">
        <v>0.15</v>
      </c>
    </row>
    <row r="19" spans="2:6">
      <c r="B19" s="7"/>
    </row>
    <row r="20" spans="2:6">
      <c r="B20" s="14" t="s">
        <v>36</v>
      </c>
      <c r="C20" s="15"/>
      <c r="D20" s="15"/>
      <c r="E20" s="15" t="s">
        <v>37</v>
      </c>
      <c r="F20" s="16"/>
    </row>
    <row r="21" spans="2:6">
      <c r="B21" s="17" t="s">
        <v>13</v>
      </c>
      <c r="C21" s="18">
        <v>1.37</v>
      </c>
      <c r="D21" s="18"/>
      <c r="E21" s="18" t="s">
        <v>13</v>
      </c>
      <c r="F21" s="19">
        <v>0.04</v>
      </c>
    </row>
    <row r="23" spans="2:6">
      <c r="B23" t="s">
        <v>19</v>
      </c>
      <c r="C23">
        <v>500</v>
      </c>
    </row>
    <row r="24" spans="2:6" ht="16.5" customHeight="1"/>
    <row r="25" spans="2:6">
      <c r="B25" t="s">
        <v>11</v>
      </c>
      <c r="C25">
        <v>38</v>
      </c>
    </row>
    <row r="26" spans="2:6">
      <c r="B26" t="s">
        <v>10</v>
      </c>
      <c r="C26">
        <v>5</v>
      </c>
    </row>
    <row r="28" spans="2:6">
      <c r="B28" s="3" t="s">
        <v>6</v>
      </c>
    </row>
    <row r="30" spans="2:6">
      <c r="B30" t="s">
        <v>39</v>
      </c>
    </row>
    <row r="32" spans="2:6">
      <c r="B32" t="s">
        <v>38</v>
      </c>
      <c r="C32" s="13">
        <f>C18/(C21*C15*C16)</f>
        <v>6.0827250608272493E-3</v>
      </c>
    </row>
    <row r="39" spans="2:3">
      <c r="B39" t="s">
        <v>40</v>
      </c>
    </row>
    <row r="41" spans="2:3">
      <c r="B41" t="s">
        <v>41</v>
      </c>
      <c r="C41" s="4">
        <f>(C25-C26)/C23-C32</f>
        <v>5.9917274939172753E-2</v>
      </c>
    </row>
    <row r="43" spans="2:3">
      <c r="B43" t="s">
        <v>42</v>
      </c>
    </row>
    <row r="45" spans="2:3">
      <c r="B45" s="20" t="s">
        <v>44</v>
      </c>
      <c r="C45" s="21">
        <f>C41*F21*C15*C16</f>
        <v>4.3140437956204383E-2</v>
      </c>
    </row>
    <row r="47" spans="2:3">
      <c r="B47" t="s">
        <v>45</v>
      </c>
    </row>
    <row r="49" spans="2:3">
      <c r="B49" s="8" t="s">
        <v>46</v>
      </c>
      <c r="C49" s="22">
        <f>C25-C23*C32</f>
        <v>34.958637469586378</v>
      </c>
    </row>
  </sheetData>
  <pageMargins left="0.7" right="0.7" top="0.75" bottom="0.75" header="0.3" footer="0.3"/>
  <pageSetup paperSize="9" orientation="portrait" horizontalDpi="0" verticalDpi="0" r:id="rId1"/>
  <headerFooter>
    <oddHeader>&amp;COCW</oddHeader>
  </headerFooter>
  <drawing r:id="rId2"/>
  <legacyDrawing r:id="rId3"/>
  <oleObjects>
    <oleObject progId="Equation.3" shapeId="409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3:F50"/>
  <sheetViews>
    <sheetView topLeftCell="A13" workbookViewId="0">
      <selection activeCell="F48" sqref="F48"/>
    </sheetView>
  </sheetViews>
  <sheetFormatPr baseColWidth="10" defaultRowHeight="15"/>
  <sheetData>
    <row r="13" spans="2:3">
      <c r="B13" s="1" t="s">
        <v>0</v>
      </c>
    </row>
    <row r="14" spans="2:3">
      <c r="B14" s="1"/>
    </row>
    <row r="15" spans="2:3">
      <c r="B15" t="s">
        <v>58</v>
      </c>
    </row>
    <row r="16" spans="2:3">
      <c r="B16" t="s">
        <v>13</v>
      </c>
      <c r="C16">
        <v>17</v>
      </c>
    </row>
    <row r="17" spans="2:6">
      <c r="B17" t="s">
        <v>10</v>
      </c>
      <c r="C17">
        <v>130</v>
      </c>
    </row>
    <row r="19" spans="2:6">
      <c r="B19" t="s">
        <v>23</v>
      </c>
      <c r="C19">
        <v>0.08</v>
      </c>
      <c r="E19" s="23" t="s">
        <v>52</v>
      </c>
      <c r="F19" s="16">
        <f>C19/2</f>
        <v>0.04</v>
      </c>
    </row>
    <row r="20" spans="2:6">
      <c r="B20" t="s">
        <v>24</v>
      </c>
      <c r="C20">
        <v>0.02</v>
      </c>
      <c r="E20" s="24" t="s">
        <v>53</v>
      </c>
      <c r="F20" s="25">
        <f>F19+C20</f>
        <v>0.06</v>
      </c>
    </row>
    <row r="21" spans="2:6">
      <c r="E21" s="17" t="s">
        <v>54</v>
      </c>
      <c r="F21" s="19">
        <f>F20+C23</f>
        <v>0.1</v>
      </c>
    </row>
    <row r="22" spans="2:6">
      <c r="B22" t="s">
        <v>37</v>
      </c>
    </row>
    <row r="23" spans="2:6">
      <c r="B23" t="s">
        <v>24</v>
      </c>
      <c r="C23">
        <v>0.04</v>
      </c>
      <c r="E23" t="s">
        <v>25</v>
      </c>
      <c r="F23">
        <v>1</v>
      </c>
    </row>
    <row r="24" spans="2:6">
      <c r="B24" t="s">
        <v>47</v>
      </c>
      <c r="C24">
        <v>3.5000000000000003E-2</v>
      </c>
    </row>
    <row r="26" spans="2:6">
      <c r="B26" t="s">
        <v>51</v>
      </c>
      <c r="C26">
        <v>25</v>
      </c>
    </row>
    <row r="29" spans="2:6">
      <c r="B29" s="3" t="s">
        <v>6</v>
      </c>
    </row>
    <row r="31" spans="2:6">
      <c r="B31" t="s">
        <v>49</v>
      </c>
    </row>
    <row r="37" spans="2:3">
      <c r="B37" t="s">
        <v>48</v>
      </c>
    </row>
    <row r="38" spans="2:3">
      <c r="B38" t="s">
        <v>50</v>
      </c>
      <c r="C38" s="13">
        <f>LN(F20/F19)/(2*PI()*F23*C16)</f>
        <v>3.7959868356884758E-3</v>
      </c>
    </row>
    <row r="39" spans="2:3">
      <c r="B39" t="s">
        <v>55</v>
      </c>
      <c r="C39" s="26">
        <f>LN(F21/F20)/(2*PI()*F23*C24)</f>
        <v>2.3228692308673766</v>
      </c>
    </row>
    <row r="41" spans="2:3">
      <c r="B41" t="s">
        <v>56</v>
      </c>
    </row>
    <row r="43" spans="2:3">
      <c r="B43" t="s">
        <v>19</v>
      </c>
      <c r="C43" s="26">
        <f>(C17-C26)/(C38+C39)</f>
        <v>45.128967932764432</v>
      </c>
    </row>
    <row r="45" spans="2:3">
      <c r="B45" t="s">
        <v>57</v>
      </c>
    </row>
    <row r="50" spans="2:3" ht="18">
      <c r="B50" s="8" t="s">
        <v>20</v>
      </c>
      <c r="C50" s="27">
        <f>C17-C43*C38</f>
        <v>129.82869103181901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5121" r:id="rId4"/>
    <oleObject progId="Equation.3" shapeId="5122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5:F45"/>
  <sheetViews>
    <sheetView workbookViewId="0">
      <selection activeCell="H26" sqref="H26"/>
    </sheetView>
  </sheetViews>
  <sheetFormatPr baseColWidth="10" defaultRowHeight="15"/>
  <cols>
    <col min="2" max="2" width="14.140625" customWidth="1"/>
  </cols>
  <sheetData>
    <row r="15" spans="2:2">
      <c r="B15" s="1" t="s">
        <v>0</v>
      </c>
    </row>
    <row r="17" spans="2:6">
      <c r="B17" t="s">
        <v>58</v>
      </c>
    </row>
    <row r="18" spans="2:6">
      <c r="B18" t="s">
        <v>13</v>
      </c>
      <c r="C18">
        <v>15</v>
      </c>
    </row>
    <row r="20" spans="2:6">
      <c r="B20" t="s">
        <v>62</v>
      </c>
      <c r="C20">
        <v>0.05</v>
      </c>
    </row>
    <row r="21" spans="2:6">
      <c r="B21" t="s">
        <v>24</v>
      </c>
      <c r="C21">
        <v>0.01</v>
      </c>
    </row>
    <row r="23" spans="2:6">
      <c r="B23" t="s">
        <v>10</v>
      </c>
      <c r="C23">
        <v>120</v>
      </c>
    </row>
    <row r="24" spans="2:6">
      <c r="B24" t="s">
        <v>51</v>
      </c>
      <c r="C24">
        <v>21</v>
      </c>
      <c r="D24" t="s">
        <v>59</v>
      </c>
    </row>
    <row r="26" spans="2:6">
      <c r="B26" t="s">
        <v>37</v>
      </c>
    </row>
    <row r="27" spans="2:6">
      <c r="B27" t="s">
        <v>24</v>
      </c>
      <c r="C27">
        <v>0.05</v>
      </c>
      <c r="E27" s="23" t="s">
        <v>63</v>
      </c>
      <c r="F27" s="16">
        <f>C20/2</f>
        <v>2.5000000000000001E-2</v>
      </c>
    </row>
    <row r="28" spans="2:6">
      <c r="E28" s="24" t="s">
        <v>53</v>
      </c>
      <c r="F28" s="25">
        <f>F27+C21</f>
        <v>3.5000000000000003E-2</v>
      </c>
    </row>
    <row r="29" spans="2:6">
      <c r="B29" t="s">
        <v>60</v>
      </c>
      <c r="E29" s="17" t="s">
        <v>54</v>
      </c>
      <c r="F29" s="19">
        <f>F28+C27</f>
        <v>8.5000000000000006E-2</v>
      </c>
    </row>
    <row r="30" spans="2:6">
      <c r="B30" t="s">
        <v>61</v>
      </c>
      <c r="C30">
        <v>25</v>
      </c>
    </row>
    <row r="31" spans="2:6">
      <c r="E31" t="s">
        <v>25</v>
      </c>
      <c r="F31">
        <v>1</v>
      </c>
    </row>
    <row r="33" spans="2:5">
      <c r="B33" s="3" t="s">
        <v>6</v>
      </c>
    </row>
    <row r="35" spans="2:5">
      <c r="B35" t="s">
        <v>64</v>
      </c>
    </row>
    <row r="37" spans="2:5">
      <c r="B37" t="s">
        <v>50</v>
      </c>
      <c r="C37" s="13">
        <f>LN(F28/F27)/(2*PI()*F31*C18)</f>
        <v>3.570081311430127E-3</v>
      </c>
    </row>
    <row r="39" spans="2:5">
      <c r="B39" t="s">
        <v>65</v>
      </c>
    </row>
    <row r="40" spans="2:5">
      <c r="B40" t="s">
        <v>69</v>
      </c>
    </row>
    <row r="42" spans="2:5">
      <c r="B42" s="28" t="s">
        <v>68</v>
      </c>
      <c r="C42" s="28" t="s">
        <v>55</v>
      </c>
      <c r="D42" s="28" t="s">
        <v>66</v>
      </c>
      <c r="E42" s="28" t="s">
        <v>67</v>
      </c>
    </row>
    <row r="43" spans="2:5">
      <c r="B43" s="29">
        <v>3.5693464186910537E-2</v>
      </c>
      <c r="C43" s="30">
        <f>LN(F29/F28)/(2*PI()*F31*B43)</f>
        <v>3.956429915743878</v>
      </c>
      <c r="D43" s="30">
        <f>(C23-C24)/(C37+C43)</f>
        <v>25.000000018590224</v>
      </c>
      <c r="E43" s="30">
        <f>D43-C30</f>
        <v>1.8590224470926842E-8</v>
      </c>
    </row>
    <row r="45" spans="2:5">
      <c r="B45" s="8" t="s">
        <v>13</v>
      </c>
      <c r="C45" s="21">
        <f>B43</f>
        <v>3.5693464186910537E-2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8:C25"/>
  <sheetViews>
    <sheetView workbookViewId="0">
      <selection activeCell="D28" sqref="D28"/>
    </sheetView>
  </sheetViews>
  <sheetFormatPr baseColWidth="10" defaultRowHeight="15"/>
  <cols>
    <col min="2" max="2" width="13.5703125" customWidth="1"/>
  </cols>
  <sheetData>
    <row r="8" spans="2:3">
      <c r="B8" s="32" t="s">
        <v>0</v>
      </c>
    </row>
    <row r="10" spans="2:3" ht="17.25">
      <c r="B10" t="s">
        <v>70</v>
      </c>
      <c r="C10">
        <v>1000</v>
      </c>
    </row>
    <row r="11" spans="2:3">
      <c r="B11" t="s">
        <v>71</v>
      </c>
      <c r="C11">
        <v>120</v>
      </c>
    </row>
    <row r="12" spans="2:3">
      <c r="B12" t="s">
        <v>72</v>
      </c>
      <c r="C12">
        <v>20</v>
      </c>
    </row>
    <row r="15" spans="2:3">
      <c r="B15" s="33" t="s">
        <v>6</v>
      </c>
    </row>
    <row r="17" spans="2:3">
      <c r="B17" t="s">
        <v>73</v>
      </c>
    </row>
    <row r="23" spans="2:3">
      <c r="B23" t="s">
        <v>74</v>
      </c>
    </row>
    <row r="25" spans="2:3" ht="17.25">
      <c r="B25" s="8" t="s">
        <v>75</v>
      </c>
      <c r="C25" s="9">
        <f>C10/(C11-C12)</f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UPV-EHU OCW 2017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bcpepbee</dc:creator>
  <cp:lastModifiedBy>Joseba</cp:lastModifiedBy>
  <dcterms:created xsi:type="dcterms:W3CDTF">2017-03-16T12:47:05Z</dcterms:created>
  <dcterms:modified xsi:type="dcterms:W3CDTF">2017-03-25T16:44:00Z</dcterms:modified>
</cp:coreProperties>
</file>